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488" windowHeight="8340"/>
  </bookViews>
  <sheets>
    <sheet name="殡葬延伸服务" sheetId="6" r:id="rId1"/>
    <sheet name="Sheet3" sheetId="3" r:id="rId2"/>
  </sheets>
  <definedNames>
    <definedName name="_xlnm.Print_Titles" localSheetId="0">殡葬延伸服务!$3:$3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<sst xmlns="http://schemas.openxmlformats.org/spreadsheetml/2006/main" count="166" uniqueCount="70">
  <si>
    <t>附件1</t>
  </si>
  <si>
    <t>殡葬延伸服务定价成本核定表</t>
  </si>
  <si>
    <t>序号</t>
  </si>
  <si>
    <t>项目名称</t>
  </si>
  <si>
    <t>单位</t>
  </si>
  <si>
    <t>行次及关系</t>
  </si>
  <si>
    <t>审核情况</t>
  </si>
  <si>
    <t>备注</t>
  </si>
  <si>
    <t>上报数</t>
  </si>
  <si>
    <t>核增数
（或核减）</t>
  </si>
  <si>
    <t>核定数</t>
  </si>
  <si>
    <t>一、殡仪延伸服务定价成本</t>
  </si>
  <si>
    <t>（一）遗体防腐</t>
  </si>
  <si>
    <t>元/次</t>
  </si>
  <si>
    <t>2=3+7+8</t>
  </si>
  <si>
    <t>殡仪馆没有遗体防腐业务，无成本费用。</t>
  </si>
  <si>
    <t>1、直接支出</t>
  </si>
  <si>
    <t>3=4+5+6</t>
  </si>
  <si>
    <t xml:space="preserve">      材料费支出</t>
  </si>
  <si>
    <t xml:space="preserve">      人工工资</t>
  </si>
  <si>
    <t xml:space="preserve">      消毒费</t>
  </si>
  <si>
    <t>2、分摊的共同费用</t>
  </si>
  <si>
    <t>3、应冲减总成本的费用</t>
  </si>
  <si>
    <t>（二）遗体整容</t>
  </si>
  <si>
    <t>9=10+14+15</t>
  </si>
  <si>
    <t>10=11+12+13</t>
  </si>
  <si>
    <t>化妆人员工资</t>
  </si>
  <si>
    <t>化妆所需耗材</t>
  </si>
  <si>
    <t>遗体更衣</t>
  </si>
  <si>
    <t>（三）吊唁厅设施及设备租赁</t>
  </si>
  <si>
    <t>16=17+22</t>
  </si>
  <si>
    <t>松鹤厅（440㎡）</t>
  </si>
  <si>
    <t>静安厅（130.5㎡）</t>
  </si>
  <si>
    <t>17=18+19+20+21</t>
  </si>
  <si>
    <t>吊唁厅房屋折旧费支出</t>
  </si>
  <si>
    <t>吊唁厅房屋装修费支出</t>
  </si>
  <si>
    <t>吊唁厅设备折旧支出</t>
  </si>
  <si>
    <t>吊唁厅人员工资</t>
  </si>
  <si>
    <t>22=23+24+25</t>
  </si>
  <si>
    <t>吊唁厅水电费</t>
  </si>
  <si>
    <t>吊唁厅房产税</t>
  </si>
  <si>
    <t>吊唁厅暖气费</t>
  </si>
  <si>
    <t>（四）守灵间设施及设备租赁</t>
  </si>
  <si>
    <t>26=27+32+36</t>
  </si>
  <si>
    <t>守灵间1号96㎡</t>
  </si>
  <si>
    <t>守灵间2号96㎡</t>
  </si>
  <si>
    <t>守灵间3号48㎡</t>
  </si>
  <si>
    <t>守灵间4号48㎡</t>
  </si>
  <si>
    <t>27=28+29+30+31</t>
  </si>
  <si>
    <t>守灵间房屋折旧费支出</t>
  </si>
  <si>
    <t>守灵间装修费支出</t>
  </si>
  <si>
    <t>守灵间设备折旧费支出</t>
  </si>
  <si>
    <t>守灵间人员工资</t>
  </si>
  <si>
    <t>32=33+...+38</t>
  </si>
  <si>
    <t>守灵间水电费</t>
  </si>
  <si>
    <t>守灵间暖气费</t>
  </si>
  <si>
    <t>守灵间消毒防护费</t>
  </si>
  <si>
    <t>守灵间清洁费用</t>
  </si>
  <si>
    <t>守灵间设备维修费</t>
  </si>
  <si>
    <t>守灵间行业管理费</t>
  </si>
  <si>
    <t>二、殡仪延伸服务定价单位成本</t>
  </si>
  <si>
    <t>可参考民政局文件</t>
  </si>
  <si>
    <t>1、遗体防腐</t>
  </si>
  <si>
    <t>无遗体防腐服务</t>
  </si>
  <si>
    <t>2、遗体整容</t>
  </si>
  <si>
    <t>原收费50元/具</t>
  </si>
  <si>
    <t>3、吊唁设施及设备租赁</t>
  </si>
  <si>
    <t>原收费180/230元/场次</t>
  </si>
  <si>
    <t xml:space="preserve">  4、守灵间设施及设备租赁</t>
  </si>
  <si>
    <t>原收费100元/次·间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</si>
</sst>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204"/>
    </font>
    <font>
      <b/>
      <sz val="12"/>
      <name val="方正仿宋简体"/>
      <charset val="204"/>
    </font>
    <font>
      <b/>
      <sz val="12"/>
      <name val="方正仿宋简体"/>
      <charset val="134"/>
    </font>
    <font>
      <sz val="12"/>
      <name val="方正仿宋简体"/>
      <charset val="204"/>
    </font>
    <font>
      <sz val="12"/>
      <name val="方正仿宋简体"/>
      <charset val="134"/>
    </font>
    <font>
      <sz val="11"/>
      <color rgb="FFC00000"/>
      <name val="宋体"/>
      <charset val="134"/>
      <scheme val="minor"/>
    </font>
    <font>
      <sz val="12"/>
      <color rgb="FFFF0000"/>
      <name val="方正仿宋简体"/>
      <charset val="204"/>
    </font>
    <font>
      <b/>
      <sz val="11"/>
      <color rgb="FFC00000"/>
      <name val="宋体"/>
      <charset val="134"/>
      <scheme val="minor"/>
    </font>
    <font>
      <sz val="11"/>
      <color theme="1"/>
      <name val="方正仿宋简体"/>
      <charset val="134"/>
    </font>
    <font>
      <sz val="12"/>
      <color rgb="FFC00000"/>
      <name val="方正仿宋简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43" fontId="5" fillId="0" borderId="1" xfId="0" applyNumberFormat="1" applyFont="1" applyFill="1" applyBorder="1" applyAlignment="1">
      <alignment horizontal="right" vertical="top" wrapText="1"/>
    </xf>
    <xf numFmtId="0" fontId="5" fillId="0" borderId="2" xfId="0" applyNumberFormat="1" applyFont="1" applyFill="1" applyBorder="1" applyAlignment="1">
      <alignment horizontal="justify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 vertical="center"/>
    </xf>
    <xf numFmtId="0" fontId="5" fillId="0" borderId="4" xfId="0" applyNumberFormat="1" applyFont="1" applyFill="1" applyBorder="1" applyAlignment="1">
      <alignment horizontal="justify" vertical="center"/>
    </xf>
    <xf numFmtId="0" fontId="5" fillId="0" borderId="1" xfId="0" applyNumberFormat="1" applyFont="1" applyFill="1" applyBorder="1" applyAlignment="1">
      <alignment horizontal="left" vertical="top" wrapText="1"/>
    </xf>
    <xf numFmtId="43" fontId="3" fillId="0" borderId="1" xfId="0" applyNumberFormat="1" applyFont="1" applyFill="1" applyBorder="1" applyAlignment="1">
      <alignment horizontal="right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NumberFormat="1" applyFont="1" applyFill="1" applyBorder="1" applyAlignment="1">
      <alignment horizontal="center" vertical="top" wrapText="1"/>
    </xf>
    <xf numFmtId="177" fontId="6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top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9" fillId="0" borderId="0" xfId="0" applyFont="1">
      <alignment vertical="center"/>
    </xf>
    <xf numFmtId="43" fontId="5" fillId="0" borderId="1" xfId="0" applyNumberFormat="1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43" fontId="10" fillId="0" borderId="1" xfId="3" applyNumberFormat="1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justify" vertical="center" wrapText="1"/>
    </xf>
    <xf numFmtId="0" fontId="11" fillId="0" borderId="3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8" fillId="0" borderId="3" xfId="0" applyNumberFormat="1" applyFont="1" applyFill="1" applyBorder="1" applyAlignment="1">
      <alignment horizontal="justify" vertical="center" wrapText="1"/>
    </xf>
    <xf numFmtId="0" fontId="8" fillId="0" borderId="4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3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workbookViewId="0">
      <selection activeCell="H6" sqref="H6:H10"/>
    </sheetView>
  </sheetViews>
  <sheetFormatPr defaultColWidth="9" defaultRowHeight="14.4"/>
  <cols>
    <col min="1" max="1" width="5.62962962962963" customWidth="1"/>
    <col min="2" max="2" width="26.5" customWidth="1"/>
    <col min="4" max="4" width="11.1296296296296" customWidth="1"/>
    <col min="5" max="5" width="11.3796296296296" customWidth="1"/>
    <col min="6" max="6" width="12.3796296296296" customWidth="1"/>
    <col min="7" max="7" width="9.5" customWidth="1"/>
    <col min="8" max="8" width="14" customWidth="1"/>
    <col min="9" max="9" width="43.3796296296296" customWidth="1"/>
    <col min="10" max="10" width="12.6296296296296"/>
  </cols>
  <sheetData>
    <row r="1" ht="15.6" spans="1:9">
      <c r="A1" s="1" t="s">
        <v>0</v>
      </c>
    </row>
    <row r="2" ht="25.8" spans="1:9">
      <c r="A2" s="2" t="s">
        <v>1</v>
      </c>
      <c r="B2" s="3"/>
      <c r="C2" s="3"/>
      <c r="D2" s="3"/>
      <c r="E2" s="3"/>
      <c r="F2" s="3"/>
      <c r="G2" s="3"/>
      <c r="H2" s="3"/>
    </row>
    <row r="3" ht="34" customHeight="1" spans="1:9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4"/>
      <c r="G3" s="4"/>
      <c r="H3" s="5" t="s">
        <v>7</v>
      </c>
    </row>
    <row r="4" ht="46.8" spans="1:9">
      <c r="A4" s="6"/>
      <c r="B4" s="7"/>
      <c r="C4" s="7"/>
      <c r="D4" s="7"/>
      <c r="E4" s="8" t="s">
        <v>8</v>
      </c>
      <c r="F4" s="8" t="s">
        <v>9</v>
      </c>
      <c r="G4" s="8" t="s">
        <v>10</v>
      </c>
      <c r="H4" s="7"/>
    </row>
    <row r="5" ht="36" customHeight="1" spans="1:9">
      <c r="A5" s="4">
        <v>1</v>
      </c>
      <c r="B5" s="9" t="s">
        <v>11</v>
      </c>
      <c r="C5" s="5"/>
      <c r="D5" s="10">
        <v>1</v>
      </c>
      <c r="E5" s="11"/>
      <c r="F5" s="11"/>
      <c r="G5" s="11"/>
      <c r="H5" s="12"/>
    </row>
    <row r="6" ht="36" customHeight="1" spans="1:9">
      <c r="A6" s="4">
        <v>2</v>
      </c>
      <c r="B6" s="9" t="s">
        <v>12</v>
      </c>
      <c r="C6" s="5" t="s">
        <v>13</v>
      </c>
      <c r="D6" s="10" t="s">
        <v>14</v>
      </c>
      <c r="E6" s="13">
        <f>E7+E11+E12</f>
        <v>0</v>
      </c>
      <c r="F6" s="13">
        <f t="shared" ref="F6:F10" si="0">G6-E6</f>
        <v>0</v>
      </c>
      <c r="G6" s="13">
        <v>0</v>
      </c>
      <c r="H6" s="14" t="s">
        <v>15</v>
      </c>
    </row>
    <row r="7" ht="36" customHeight="1" spans="1:9">
      <c r="A7" s="6">
        <v>3</v>
      </c>
      <c r="B7" s="15" t="s">
        <v>16</v>
      </c>
      <c r="C7" s="7" t="s">
        <v>13</v>
      </c>
      <c r="D7" s="16" t="s">
        <v>17</v>
      </c>
      <c r="E7" s="13"/>
      <c r="F7" s="13">
        <f t="shared" si="0"/>
        <v>0</v>
      </c>
      <c r="G7" s="13">
        <f>G8+G9+G10</f>
        <v>0</v>
      </c>
      <c r="H7" s="17"/>
    </row>
    <row r="8" ht="36" customHeight="1" spans="1:9">
      <c r="A8" s="6">
        <v>4</v>
      </c>
      <c r="B8" s="15" t="s">
        <v>18</v>
      </c>
      <c r="C8" s="7" t="s">
        <v>13</v>
      </c>
      <c r="D8" s="16">
        <v>4</v>
      </c>
      <c r="E8" s="13"/>
      <c r="F8" s="13">
        <f t="shared" si="0"/>
        <v>0</v>
      </c>
      <c r="G8" s="13">
        <v>0</v>
      </c>
      <c r="H8" s="17"/>
    </row>
    <row r="9" ht="36" customHeight="1" spans="1:9">
      <c r="A9" s="6">
        <v>5</v>
      </c>
      <c r="B9" s="15" t="s">
        <v>19</v>
      </c>
      <c r="C9" s="7" t="s">
        <v>13</v>
      </c>
      <c r="D9" s="16">
        <v>5</v>
      </c>
      <c r="E9" s="13"/>
      <c r="F9" s="13">
        <f t="shared" si="0"/>
        <v>0</v>
      </c>
      <c r="G9" s="13">
        <v>0</v>
      </c>
      <c r="H9" s="17"/>
    </row>
    <row r="10" ht="36" customHeight="1" spans="1:9">
      <c r="A10" s="6">
        <v>6</v>
      </c>
      <c r="B10" s="15" t="s">
        <v>20</v>
      </c>
      <c r="C10" s="7" t="s">
        <v>13</v>
      </c>
      <c r="D10" s="16">
        <v>6</v>
      </c>
      <c r="E10" s="13"/>
      <c r="F10" s="13">
        <f t="shared" si="0"/>
        <v>0</v>
      </c>
      <c r="G10" s="13">
        <v>0</v>
      </c>
      <c r="H10" s="18"/>
    </row>
    <row r="11" ht="36" customHeight="1" spans="1:9">
      <c r="A11" s="6">
        <v>7</v>
      </c>
      <c r="B11" s="15" t="s">
        <v>21</v>
      </c>
      <c r="C11" s="7" t="s">
        <v>13</v>
      </c>
      <c r="D11" s="16">
        <v>7</v>
      </c>
      <c r="E11" s="13"/>
      <c r="F11" s="13"/>
      <c r="G11" s="13"/>
      <c r="H11" s="19"/>
    </row>
    <row r="12" ht="36" customHeight="1" spans="1:9">
      <c r="A12" s="6">
        <v>8</v>
      </c>
      <c r="B12" s="15" t="s">
        <v>22</v>
      </c>
      <c r="C12" s="7" t="s">
        <v>13</v>
      </c>
      <c r="D12" s="16">
        <v>8</v>
      </c>
      <c r="E12" s="13"/>
      <c r="F12" s="13"/>
      <c r="G12" s="13"/>
      <c r="H12" s="19"/>
    </row>
    <row r="13" ht="36" customHeight="1" spans="1:9">
      <c r="A13" s="4">
        <v>9</v>
      </c>
      <c r="B13" s="9" t="s">
        <v>23</v>
      </c>
      <c r="C13" s="5" t="s">
        <v>13</v>
      </c>
      <c r="D13" s="10" t="s">
        <v>24</v>
      </c>
      <c r="E13" s="20">
        <f>E14+E18+E19</f>
        <v>727.35</v>
      </c>
      <c r="F13" s="20">
        <f t="shared" ref="F13:F17" si="1">G13-E13</f>
        <v>-592</v>
      </c>
      <c r="G13" s="20">
        <f>G15+G16+G17+G18+G19</f>
        <v>135.35</v>
      </c>
      <c r="H13" s="19"/>
    </row>
    <row r="14" ht="36" customHeight="1" spans="1:9">
      <c r="A14" s="6">
        <v>10</v>
      </c>
      <c r="B14" s="15" t="s">
        <v>16</v>
      </c>
      <c r="C14" s="7" t="s">
        <v>13</v>
      </c>
      <c r="D14" s="16" t="s">
        <v>25</v>
      </c>
      <c r="E14" s="21">
        <f>E15+E16+E17</f>
        <v>727.35</v>
      </c>
      <c r="F14" s="21">
        <f t="shared" si="1"/>
        <v>-592</v>
      </c>
      <c r="G14" s="21">
        <f>G15+G16+G17</f>
        <v>135.35</v>
      </c>
      <c r="H14" s="19"/>
    </row>
    <row r="15" ht="56" customHeight="1" spans="1:9">
      <c r="A15" s="6">
        <v>11</v>
      </c>
      <c r="B15" s="15" t="s">
        <v>26</v>
      </c>
      <c r="C15" s="7" t="s">
        <v>13</v>
      </c>
      <c r="D15" s="16">
        <v>11</v>
      </c>
      <c r="E15" s="21">
        <f>(2800*12+50*50*0.3)/50</f>
        <v>687</v>
      </c>
      <c r="F15" s="21">
        <f t="shared" si="1"/>
        <v>-592</v>
      </c>
      <c r="G15" s="21">
        <f>(2800*12+40*50*0.3)/40/9</f>
        <v>95</v>
      </c>
      <c r="H15" s="19"/>
      <c r="I15" s="22"/>
    </row>
    <row r="16" ht="36" customHeight="1" spans="1:9">
      <c r="A16" s="6">
        <v>12</v>
      </c>
      <c r="B16" s="15" t="s">
        <v>27</v>
      </c>
      <c r="C16" s="7" t="s">
        <v>13</v>
      </c>
      <c r="D16" s="16">
        <v>12</v>
      </c>
      <c r="E16" s="13">
        <f>4.4+3.38+1.2+1.7+1.98+1.1+1.3+0.42+0.72+0.9+0.75+1.4+1+0.1</f>
        <v>20.35</v>
      </c>
      <c r="F16" s="13">
        <f t="shared" si="1"/>
        <v>0</v>
      </c>
      <c r="G16" s="13">
        <v>20.35</v>
      </c>
      <c r="H16" s="19"/>
    </row>
    <row r="17" ht="36" customHeight="1" spans="1:9">
      <c r="A17" s="6">
        <v>13</v>
      </c>
      <c r="B17" s="15" t="s">
        <v>28</v>
      </c>
      <c r="C17" s="7" t="s">
        <v>13</v>
      </c>
      <c r="D17" s="16">
        <v>13</v>
      </c>
      <c r="E17" s="21">
        <v>20</v>
      </c>
      <c r="F17" s="21">
        <f t="shared" si="1"/>
        <v>0</v>
      </c>
      <c r="G17" s="21">
        <v>20</v>
      </c>
      <c r="H17" s="19"/>
    </row>
    <row r="18" ht="36" customHeight="1" spans="1:9">
      <c r="A18" s="6">
        <v>14</v>
      </c>
      <c r="B18" s="15" t="s">
        <v>21</v>
      </c>
      <c r="C18" s="7" t="s">
        <v>13</v>
      </c>
      <c r="D18" s="16">
        <v>14</v>
      </c>
      <c r="E18" s="13"/>
      <c r="F18" s="13"/>
      <c r="G18" s="13"/>
      <c r="H18" s="19"/>
    </row>
    <row r="19" ht="36" customHeight="1" spans="1:9">
      <c r="A19" s="6">
        <v>15</v>
      </c>
      <c r="B19" s="15" t="s">
        <v>22</v>
      </c>
      <c r="C19" s="7" t="s">
        <v>13</v>
      </c>
      <c r="D19" s="16">
        <v>15</v>
      </c>
      <c r="E19" s="13"/>
      <c r="F19" s="13"/>
      <c r="G19" s="13"/>
      <c r="H19" s="19"/>
    </row>
    <row r="20" ht="36" customHeight="1" spans="1:9">
      <c r="A20" s="4">
        <v>16</v>
      </c>
      <c r="B20" s="9" t="s">
        <v>29</v>
      </c>
      <c r="C20" s="5" t="s">
        <v>13</v>
      </c>
      <c r="D20" s="10" t="s">
        <v>30</v>
      </c>
      <c r="E20" s="11">
        <f>E23+E36</f>
        <v>571.270867123288</v>
      </c>
      <c r="F20" s="11">
        <f t="shared" ref="F20:F24" si="2">G20-E20</f>
        <v>0</v>
      </c>
      <c r="G20" s="11">
        <f>G23+G36</f>
        <v>571.270867123288</v>
      </c>
      <c r="H20" s="19"/>
    </row>
    <row r="21" ht="36" customHeight="1" spans="1:9">
      <c r="A21" s="6"/>
      <c r="B21" s="15" t="s">
        <v>31</v>
      </c>
      <c r="C21" s="7"/>
      <c r="D21" s="16"/>
      <c r="E21" s="13">
        <f>E25+E28+E31+E34+E37+E38+E40</f>
        <v>410.787189041096</v>
      </c>
      <c r="F21" s="13"/>
      <c r="G21" s="13">
        <f>G25+G28+G31+G34+G37+G38+G40</f>
        <v>410.787189041096</v>
      </c>
      <c r="H21" s="19"/>
    </row>
    <row r="22" ht="36" customHeight="1" spans="1:9">
      <c r="A22" s="6"/>
      <c r="B22" s="15" t="s">
        <v>32</v>
      </c>
      <c r="C22" s="7"/>
      <c r="D22" s="16"/>
      <c r="E22" s="13">
        <f>E26+E29+E32+E35+E37+E38+E41</f>
        <v>180.483678082192</v>
      </c>
      <c r="F22" s="13"/>
      <c r="G22" s="13">
        <f>G26+G29+G32+G35+G37+G38+G41</f>
        <v>180.483678082192</v>
      </c>
      <c r="H22" s="19"/>
    </row>
    <row r="23" ht="36" customHeight="1" spans="1:9">
      <c r="A23" s="6">
        <v>17</v>
      </c>
      <c r="B23" s="15" t="s">
        <v>16</v>
      </c>
      <c r="C23" s="7" t="s">
        <v>13</v>
      </c>
      <c r="D23" s="16" t="s">
        <v>33</v>
      </c>
      <c r="E23" s="13">
        <f>E24+E27+E30+E33</f>
        <v>451.433367123288</v>
      </c>
      <c r="F23" s="13">
        <f t="shared" si="2"/>
        <v>0</v>
      </c>
      <c r="G23" s="13">
        <f>G24+G27+G30+G33</f>
        <v>451.433367123288</v>
      </c>
      <c r="H23" s="19"/>
    </row>
    <row r="24" ht="36" customHeight="1" spans="1:9">
      <c r="A24" s="6">
        <v>18</v>
      </c>
      <c r="B24" s="23" t="s">
        <v>34</v>
      </c>
      <c r="C24" s="7" t="s">
        <v>13</v>
      </c>
      <c r="D24" s="16">
        <v>18</v>
      </c>
      <c r="E24" s="13">
        <f>SUM(E25:E26)</f>
        <v>154.62</v>
      </c>
      <c r="F24" s="13">
        <f t="shared" si="2"/>
        <v>0</v>
      </c>
      <c r="G24" s="13">
        <f>SUM(G25:G26)</f>
        <v>154.62</v>
      </c>
      <c r="H24" s="19"/>
    </row>
    <row r="25" ht="36" customHeight="1" spans="1:9">
      <c r="A25" s="6"/>
      <c r="B25" s="15" t="s">
        <v>31</v>
      </c>
      <c r="C25" s="7"/>
      <c r="D25" s="16"/>
      <c r="E25" s="21">
        <v>119.25</v>
      </c>
      <c r="F25" s="21">
        <f>E25-G25</f>
        <v>0</v>
      </c>
      <c r="G25" s="21">
        <v>119.25</v>
      </c>
      <c r="H25" s="24"/>
      <c r="I25" s="25"/>
    </row>
    <row r="26" ht="36" customHeight="1" spans="1:9">
      <c r="A26" s="6"/>
      <c r="B26" s="15" t="s">
        <v>32</v>
      </c>
      <c r="C26" s="7"/>
      <c r="D26" s="16"/>
      <c r="E26" s="13">
        <v>35.37</v>
      </c>
      <c r="F26" s="13">
        <f>E26-G26</f>
        <v>0</v>
      </c>
      <c r="G26" s="13">
        <v>35.37</v>
      </c>
      <c r="H26" s="26"/>
    </row>
    <row r="27" ht="36" customHeight="1" spans="1:9">
      <c r="A27" s="6">
        <v>19</v>
      </c>
      <c r="B27" s="15" t="s">
        <v>35</v>
      </c>
      <c r="C27" s="7" t="s">
        <v>13</v>
      </c>
      <c r="D27" s="16">
        <v>19</v>
      </c>
      <c r="E27" s="13">
        <f>SUM(E28:E29)</f>
        <v>35.7433671232877</v>
      </c>
      <c r="F27" s="13">
        <f>G27-E27</f>
        <v>0</v>
      </c>
      <c r="G27" s="13">
        <f>SUM(G28:G29)</f>
        <v>35.7433671232877</v>
      </c>
      <c r="H27" s="26"/>
    </row>
    <row r="28" ht="36" customHeight="1" spans="1:9">
      <c r="A28" s="6"/>
      <c r="B28" s="27" t="s">
        <v>31</v>
      </c>
      <c r="C28" s="7"/>
      <c r="D28" s="16"/>
      <c r="E28" s="28">
        <f>301860.72/30/365</f>
        <v>27.5671890410959</v>
      </c>
      <c r="F28" s="28"/>
      <c r="G28" s="28">
        <f>301860.72/30/365</f>
        <v>27.5671890410959</v>
      </c>
      <c r="H28" s="26"/>
    </row>
    <row r="29" ht="36" customHeight="1" spans="1:9">
      <c r="A29" s="6"/>
      <c r="B29" s="15" t="s">
        <v>32</v>
      </c>
      <c r="C29" s="7"/>
      <c r="D29" s="16"/>
      <c r="E29" s="13">
        <f>89529.15/30/365</f>
        <v>8.17617808219178</v>
      </c>
      <c r="F29" s="13"/>
      <c r="G29" s="13">
        <f>89529.15/30/365</f>
        <v>8.17617808219178</v>
      </c>
      <c r="H29" s="26"/>
    </row>
    <row r="30" ht="36" customHeight="1" spans="1:9">
      <c r="A30" s="6">
        <v>20</v>
      </c>
      <c r="B30" s="15" t="s">
        <v>36</v>
      </c>
      <c r="C30" s="7" t="s">
        <v>13</v>
      </c>
      <c r="D30" s="16">
        <v>20</v>
      </c>
      <c r="E30" s="21">
        <f>SUM(E31:E32)</f>
        <v>111.07</v>
      </c>
      <c r="F30" s="21">
        <f>G30-E30</f>
        <v>0</v>
      </c>
      <c r="G30" s="21">
        <f>SUM(G31:G32)</f>
        <v>111.07</v>
      </c>
      <c r="H30" s="19"/>
    </row>
    <row r="31" ht="36" customHeight="1" spans="1:9">
      <c r="A31" s="6"/>
      <c r="B31" s="27" t="s">
        <v>31</v>
      </c>
      <c r="C31" s="7"/>
      <c r="D31" s="16"/>
      <c r="E31" s="29">
        <v>51.47</v>
      </c>
      <c r="F31" s="29"/>
      <c r="G31" s="29">
        <v>51.47</v>
      </c>
      <c r="H31" s="30"/>
    </row>
    <row r="32" ht="36" customHeight="1" spans="1:9">
      <c r="A32" s="6"/>
      <c r="B32" s="15" t="s">
        <v>32</v>
      </c>
      <c r="C32" s="7"/>
      <c r="D32" s="16"/>
      <c r="E32" s="21">
        <v>59.6</v>
      </c>
      <c r="F32" s="21"/>
      <c r="G32" s="21">
        <v>59.6</v>
      </c>
      <c r="H32" s="30"/>
    </row>
    <row r="33" ht="36" customHeight="1" spans="1:9">
      <c r="A33" s="6">
        <v>21</v>
      </c>
      <c r="B33" s="15" t="s">
        <v>37</v>
      </c>
      <c r="C33" s="7" t="s">
        <v>13</v>
      </c>
      <c r="D33" s="16">
        <v>21</v>
      </c>
      <c r="E33" s="21">
        <f>SUM(E34:E35)</f>
        <v>150</v>
      </c>
      <c r="F33" s="21">
        <f t="shared" ref="F33:F39" si="3">G33-E33</f>
        <v>0</v>
      </c>
      <c r="G33" s="21">
        <f>SUM(G34:G35)</f>
        <v>150</v>
      </c>
      <c r="H33" s="19"/>
    </row>
    <row r="34" ht="57" customHeight="1" spans="1:9">
      <c r="A34" s="6"/>
      <c r="B34" s="27" t="s">
        <v>31</v>
      </c>
      <c r="C34" s="7"/>
      <c r="D34" s="16"/>
      <c r="E34" s="29">
        <f>4500/30*0.77</f>
        <v>115.5</v>
      </c>
      <c r="F34" s="29"/>
      <c r="G34" s="29">
        <v>115.5</v>
      </c>
      <c r="H34" s="30"/>
      <c r="I34" s="25"/>
    </row>
    <row r="35" ht="36" customHeight="1" spans="1:9">
      <c r="A35" s="6"/>
      <c r="B35" s="15" t="s">
        <v>32</v>
      </c>
      <c r="C35" s="7"/>
      <c r="D35" s="16"/>
      <c r="E35" s="21">
        <f>150*0.23</f>
        <v>34.5</v>
      </c>
      <c r="F35" s="21"/>
      <c r="G35" s="21">
        <v>34.5</v>
      </c>
      <c r="H35" s="19"/>
    </row>
    <row r="36" ht="36" customHeight="1" spans="1:9">
      <c r="A36" s="6">
        <v>22</v>
      </c>
      <c r="B36" s="15" t="s">
        <v>21</v>
      </c>
      <c r="C36" s="7" t="s">
        <v>13</v>
      </c>
      <c r="D36" s="16" t="s">
        <v>38</v>
      </c>
      <c r="E36" s="21">
        <f t="shared" ref="E36:G36" si="4">SUM(E37:E39)</f>
        <v>119.8375</v>
      </c>
      <c r="F36" s="21">
        <f t="shared" si="4"/>
        <v>0</v>
      </c>
      <c r="G36" s="21">
        <f t="shared" si="4"/>
        <v>119.8375</v>
      </c>
      <c r="H36" s="19"/>
    </row>
    <row r="37" ht="36" customHeight="1" spans="1:9">
      <c r="A37" s="6">
        <v>23</v>
      </c>
      <c r="B37" s="15" t="s">
        <v>39</v>
      </c>
      <c r="C37" s="7" t="s">
        <v>13</v>
      </c>
      <c r="D37" s="16">
        <v>23</v>
      </c>
      <c r="E37" s="21">
        <v>20</v>
      </c>
      <c r="F37" s="21">
        <f t="shared" si="3"/>
        <v>0</v>
      </c>
      <c r="G37" s="21">
        <v>20</v>
      </c>
      <c r="H37" s="19"/>
    </row>
    <row r="38" ht="36" customHeight="1" spans="1:9">
      <c r="A38" s="6">
        <v>24</v>
      </c>
      <c r="B38" s="15" t="s">
        <v>40</v>
      </c>
      <c r="C38" s="7" t="s">
        <v>13</v>
      </c>
      <c r="D38" s="16">
        <v>24</v>
      </c>
      <c r="E38" s="21">
        <v>0</v>
      </c>
      <c r="F38" s="21">
        <f t="shared" si="3"/>
        <v>0</v>
      </c>
      <c r="G38" s="21">
        <v>0</v>
      </c>
      <c r="H38" s="19"/>
    </row>
    <row r="39" ht="36" customHeight="1" spans="1:9">
      <c r="A39" s="6">
        <v>25</v>
      </c>
      <c r="B39" s="15" t="s">
        <v>41</v>
      </c>
      <c r="C39" s="7" t="s">
        <v>13</v>
      </c>
      <c r="D39" s="16">
        <v>25</v>
      </c>
      <c r="E39" s="21">
        <f>E40+E41</f>
        <v>99.8375</v>
      </c>
      <c r="F39" s="21">
        <f t="shared" si="3"/>
        <v>0</v>
      </c>
      <c r="G39" s="21">
        <f>G40+G41</f>
        <v>99.8375</v>
      </c>
      <c r="H39" s="31"/>
    </row>
    <row r="40" ht="36" customHeight="1" spans="1:9">
      <c r="A40" s="6"/>
      <c r="B40" s="15" t="s">
        <v>31</v>
      </c>
      <c r="C40" s="7"/>
      <c r="D40" s="16"/>
      <c r="E40" s="21">
        <v>77</v>
      </c>
      <c r="F40" s="21"/>
      <c r="G40" s="21">
        <f>440*21/120</f>
        <v>77</v>
      </c>
      <c r="H40" s="19"/>
    </row>
    <row r="41" ht="36" customHeight="1" spans="1:9">
      <c r="A41" s="6"/>
      <c r="B41" s="15" t="s">
        <v>32</v>
      </c>
      <c r="C41" s="7"/>
      <c r="D41" s="16"/>
      <c r="E41" s="13">
        <v>22.8375</v>
      </c>
      <c r="F41" s="13"/>
      <c r="G41" s="13">
        <f>130.5*21/120</f>
        <v>22.8375</v>
      </c>
      <c r="H41" s="19"/>
    </row>
    <row r="42" ht="36" customHeight="1" spans="1:9">
      <c r="A42" s="4">
        <v>26</v>
      </c>
      <c r="B42" s="32" t="s">
        <v>42</v>
      </c>
      <c r="C42" s="5" t="s">
        <v>13</v>
      </c>
      <c r="D42" s="10" t="s">
        <v>43</v>
      </c>
      <c r="E42" s="20">
        <f>E47+E68</f>
        <v>1927.96675008753</v>
      </c>
      <c r="F42" s="20">
        <f t="shared" ref="F42:F48" si="5">G42-E42</f>
        <v>-1505.32666666667</v>
      </c>
      <c r="G42" s="20">
        <f>G47+G68</f>
        <v>422.640083420862</v>
      </c>
      <c r="H42" s="12"/>
    </row>
    <row r="43" ht="36" customHeight="1" spans="1:9">
      <c r="A43" s="6"/>
      <c r="B43" s="27" t="s">
        <v>44</v>
      </c>
      <c r="C43" s="7"/>
      <c r="D43" s="16"/>
      <c r="E43" s="21">
        <f t="shared" ref="E43:G43" si="6">E49+E54+E59+E64+E70+E75+E80+E85+E90+E95</f>
        <v>515.940027806954</v>
      </c>
      <c r="F43" s="21">
        <f t="shared" si="6"/>
        <v>-258.721666666667</v>
      </c>
      <c r="G43" s="21">
        <f t="shared" si="6"/>
        <v>257.218361140287</v>
      </c>
      <c r="H43" s="33"/>
      <c r="I43" s="34"/>
    </row>
    <row r="44" ht="36" customHeight="1" spans="1:9">
      <c r="A44" s="6"/>
      <c r="B44" s="27" t="s">
        <v>45</v>
      </c>
      <c r="C44" s="7"/>
      <c r="D44" s="16"/>
      <c r="E44" s="21">
        <f t="shared" ref="E44:E46" si="7">E50+E55+E60+E65+E71+E76+E81+E86+E91+E96</f>
        <v>515.940027806954</v>
      </c>
      <c r="F44" s="21">
        <f t="shared" si="5"/>
        <v>-255.851666666667</v>
      </c>
      <c r="G44" s="21">
        <f t="shared" ref="G44:G46" si="8">G50+G55+G60+G65+G71+G76+G81+G86+G91+G96</f>
        <v>260.088361140287</v>
      </c>
      <c r="H44" s="19"/>
    </row>
    <row r="45" ht="36" customHeight="1" spans="1:9">
      <c r="A45" s="6"/>
      <c r="B45" s="27" t="s">
        <v>46</v>
      </c>
      <c r="C45" s="7"/>
      <c r="D45" s="16"/>
      <c r="E45" s="21">
        <f t="shared" si="7"/>
        <v>448.04334723681</v>
      </c>
      <c r="F45" s="21">
        <f t="shared" si="5"/>
        <v>-270.951666666667</v>
      </c>
      <c r="G45" s="21">
        <f t="shared" si="8"/>
        <v>177.091680570144</v>
      </c>
      <c r="H45" s="19"/>
    </row>
    <row r="46" ht="36" customHeight="1" spans="1:9">
      <c r="A46" s="6"/>
      <c r="B46" s="27" t="s">
        <v>47</v>
      </c>
      <c r="C46" s="7"/>
      <c r="D46" s="16"/>
      <c r="E46" s="21">
        <f t="shared" si="7"/>
        <v>448.04334723681</v>
      </c>
      <c r="F46" s="21">
        <f t="shared" si="5"/>
        <v>-271.101666666667</v>
      </c>
      <c r="G46" s="21">
        <f t="shared" si="8"/>
        <v>176.941680570144</v>
      </c>
      <c r="H46" s="19"/>
    </row>
    <row r="47" ht="36" customHeight="1" spans="1:9">
      <c r="A47" s="6">
        <v>27</v>
      </c>
      <c r="B47" s="15" t="s">
        <v>16</v>
      </c>
      <c r="C47" s="7" t="s">
        <v>13</v>
      </c>
      <c r="D47" s="16" t="s">
        <v>48</v>
      </c>
      <c r="E47" s="21">
        <f>E48+E53+E58+E63</f>
        <v>1166.06008342086</v>
      </c>
      <c r="F47" s="21">
        <f t="shared" si="5"/>
        <v>-743.42</v>
      </c>
      <c r="G47" s="21">
        <f>G48+G53+G58+G63</f>
        <v>422.640083420862</v>
      </c>
      <c r="H47" s="19"/>
    </row>
    <row r="48" ht="36" customHeight="1" spans="1:9">
      <c r="A48" s="6">
        <v>28</v>
      </c>
      <c r="B48" s="15" t="s">
        <v>49</v>
      </c>
      <c r="C48" s="7" t="s">
        <v>13</v>
      </c>
      <c r="D48" s="16">
        <v>28</v>
      </c>
      <c r="E48" s="21">
        <f>SUM(E49:E52)</f>
        <v>78.0561053386704</v>
      </c>
      <c r="F48" s="21">
        <f t="shared" si="5"/>
        <v>0</v>
      </c>
      <c r="G48" s="21">
        <f>SUM(G49:G52)</f>
        <v>78.0561053386704</v>
      </c>
      <c r="H48" s="35"/>
    </row>
    <row r="49" ht="36" customHeight="1" spans="1:9">
      <c r="A49" s="6"/>
      <c r="B49" s="27" t="s">
        <v>44</v>
      </c>
      <c r="C49" s="7"/>
      <c r="D49" s="16"/>
      <c r="E49" s="36">
        <v>26.0187017795568</v>
      </c>
      <c r="F49" s="36">
        <f t="shared" ref="F49:F52" si="9">E49-G49</f>
        <v>0</v>
      </c>
      <c r="G49" s="37">
        <v>26.0187017795568</v>
      </c>
      <c r="H49" s="35"/>
      <c r="I49" s="34"/>
    </row>
    <row r="50" ht="36" customHeight="1" spans="1:9">
      <c r="A50" s="6"/>
      <c r="B50" s="27" t="s">
        <v>45</v>
      </c>
      <c r="C50" s="7"/>
      <c r="D50" s="16"/>
      <c r="E50" s="36">
        <v>26.0187017795568</v>
      </c>
      <c r="F50" s="36">
        <f t="shared" si="9"/>
        <v>0</v>
      </c>
      <c r="G50" s="37">
        <v>26.0187017795568</v>
      </c>
      <c r="H50" s="35"/>
    </row>
    <row r="51" ht="36" customHeight="1" spans="1:9">
      <c r="A51" s="6"/>
      <c r="B51" s="27" t="s">
        <v>46</v>
      </c>
      <c r="C51" s="7"/>
      <c r="D51" s="16"/>
      <c r="E51" s="36">
        <v>13.0093508897784</v>
      </c>
      <c r="F51" s="36">
        <f t="shared" si="9"/>
        <v>0</v>
      </c>
      <c r="G51" s="37">
        <v>13.0093508897784</v>
      </c>
      <c r="H51" s="35"/>
    </row>
    <row r="52" ht="36" customHeight="1" spans="1:9">
      <c r="A52" s="6"/>
      <c r="B52" s="27" t="s">
        <v>47</v>
      </c>
      <c r="C52" s="7"/>
      <c r="D52" s="16"/>
      <c r="E52" s="36">
        <v>13.0093508897784</v>
      </c>
      <c r="F52" s="36">
        <f t="shared" si="9"/>
        <v>0</v>
      </c>
      <c r="G52" s="37">
        <v>13.0093508897784</v>
      </c>
      <c r="H52" s="35"/>
    </row>
    <row r="53" ht="36" customHeight="1" spans="1:9">
      <c r="A53" s="6">
        <v>29</v>
      </c>
      <c r="B53" s="15" t="s">
        <v>50</v>
      </c>
      <c r="C53" s="7" t="s">
        <v>13</v>
      </c>
      <c r="D53" s="16">
        <v>29</v>
      </c>
      <c r="E53" s="21">
        <f>SUM(E54:E57)</f>
        <v>18.0439780821918</v>
      </c>
      <c r="F53" s="21">
        <f t="shared" ref="F53:F67" si="10">G53-E53</f>
        <v>0</v>
      </c>
      <c r="G53" s="21">
        <f>SUM(G54:G57)</f>
        <v>18.0439780821918</v>
      </c>
      <c r="H53" s="35"/>
    </row>
    <row r="54" ht="36" customHeight="1" spans="1:9">
      <c r="A54" s="6"/>
      <c r="B54" s="27" t="s">
        <v>44</v>
      </c>
      <c r="C54" s="7"/>
      <c r="D54" s="16"/>
      <c r="E54" s="36">
        <v>6.01465936073059</v>
      </c>
      <c r="F54" s="21">
        <f t="shared" si="10"/>
        <v>0</v>
      </c>
      <c r="G54" s="37">
        <v>6.01465936073059</v>
      </c>
      <c r="H54" s="31"/>
    </row>
    <row r="55" ht="36" customHeight="1" spans="1:9">
      <c r="A55" s="6"/>
      <c r="B55" s="27" t="s">
        <v>45</v>
      </c>
      <c r="C55" s="7"/>
      <c r="D55" s="16"/>
      <c r="E55" s="36">
        <v>6.01465936073059</v>
      </c>
      <c r="F55" s="21">
        <f t="shared" si="10"/>
        <v>0</v>
      </c>
      <c r="G55" s="37">
        <v>6.01465936073059</v>
      </c>
      <c r="H55" s="31"/>
    </row>
    <row r="56" ht="36" customHeight="1" spans="1:9">
      <c r="A56" s="6"/>
      <c r="B56" s="27" t="s">
        <v>46</v>
      </c>
      <c r="C56" s="7"/>
      <c r="D56" s="16"/>
      <c r="E56" s="36">
        <v>3.0073296803653</v>
      </c>
      <c r="F56" s="13">
        <f t="shared" si="10"/>
        <v>0</v>
      </c>
      <c r="G56" s="37">
        <v>3.0073296803653</v>
      </c>
      <c r="H56" s="19"/>
    </row>
    <row r="57" ht="36" customHeight="1" spans="1:9">
      <c r="A57" s="6"/>
      <c r="B57" s="27" t="s">
        <v>47</v>
      </c>
      <c r="C57" s="7"/>
      <c r="D57" s="16"/>
      <c r="E57" s="36">
        <v>3.0073296803653</v>
      </c>
      <c r="F57" s="13">
        <f t="shared" si="10"/>
        <v>0</v>
      </c>
      <c r="G57" s="37">
        <v>3.0073296803653</v>
      </c>
      <c r="H57" s="19"/>
    </row>
    <row r="58" ht="36" customHeight="1" spans="1:9">
      <c r="A58" s="6">
        <v>30</v>
      </c>
      <c r="B58" s="15" t="s">
        <v>51</v>
      </c>
      <c r="C58" s="7" t="s">
        <v>13</v>
      </c>
      <c r="D58" s="16">
        <v>30</v>
      </c>
      <c r="E58" s="21">
        <f>SUM(E59:E62)</f>
        <v>569.96</v>
      </c>
      <c r="F58" s="21">
        <f t="shared" si="10"/>
        <v>-440.1</v>
      </c>
      <c r="G58" s="21">
        <f>SUM(G59:G62)</f>
        <v>129.86</v>
      </c>
      <c r="H58" s="31"/>
    </row>
    <row r="59" ht="36" customHeight="1" spans="1:9">
      <c r="A59" s="6"/>
      <c r="B59" s="27" t="s">
        <v>44</v>
      </c>
      <c r="C59" s="7"/>
      <c r="D59" s="16"/>
      <c r="E59" s="36">
        <v>143.69</v>
      </c>
      <c r="F59" s="36">
        <f t="shared" si="10"/>
        <v>-109.56</v>
      </c>
      <c r="G59" s="21">
        <v>34.13</v>
      </c>
      <c r="H59" s="31"/>
    </row>
    <row r="60" ht="36" customHeight="1" spans="1:9">
      <c r="A60" s="6"/>
      <c r="B60" s="27" t="s">
        <v>45</v>
      </c>
      <c r="C60" s="7"/>
      <c r="D60" s="16"/>
      <c r="E60" s="36">
        <v>143.69</v>
      </c>
      <c r="F60" s="36">
        <f t="shared" si="10"/>
        <v>-106.69</v>
      </c>
      <c r="G60" s="21">
        <v>37</v>
      </c>
      <c r="H60" s="31"/>
    </row>
    <row r="61" ht="36" customHeight="1" spans="1:9">
      <c r="A61" s="6"/>
      <c r="B61" s="27" t="s">
        <v>46</v>
      </c>
      <c r="C61" s="7"/>
      <c r="D61" s="16"/>
      <c r="E61" s="36">
        <v>141.29</v>
      </c>
      <c r="F61" s="36">
        <f t="shared" si="10"/>
        <v>-111.85</v>
      </c>
      <c r="G61" s="13">
        <v>29.44</v>
      </c>
      <c r="H61" s="19"/>
    </row>
    <row r="62" ht="36" customHeight="1" spans="1:9">
      <c r="A62" s="6"/>
      <c r="B62" s="27" t="s">
        <v>47</v>
      </c>
      <c r="C62" s="7"/>
      <c r="D62" s="16"/>
      <c r="E62" s="29">
        <v>141.29</v>
      </c>
      <c r="F62" s="29">
        <f t="shared" si="10"/>
        <v>-112</v>
      </c>
      <c r="G62" s="28">
        <v>29.29</v>
      </c>
      <c r="H62" s="30"/>
    </row>
    <row r="63" ht="36" customHeight="1" spans="1:9">
      <c r="A63" s="6">
        <v>31</v>
      </c>
      <c r="B63" s="15" t="s">
        <v>52</v>
      </c>
      <c r="C63" s="7" t="s">
        <v>13</v>
      </c>
      <c r="D63" s="16">
        <v>31</v>
      </c>
      <c r="E63" s="21">
        <f>SUM(E64:E67)</f>
        <v>500</v>
      </c>
      <c r="F63" s="21">
        <f t="shared" si="10"/>
        <v>-303.32</v>
      </c>
      <c r="G63" s="21">
        <f>SUM(G64:G67)</f>
        <v>196.68</v>
      </c>
      <c r="H63" s="19"/>
    </row>
    <row r="64" ht="39" customHeight="1" spans="1:9">
      <c r="A64" s="6"/>
      <c r="B64" s="27" t="s">
        <v>44</v>
      </c>
      <c r="C64" s="7"/>
      <c r="D64" s="16"/>
      <c r="E64" s="29">
        <v>130</v>
      </c>
      <c r="F64" s="29">
        <f t="shared" si="10"/>
        <v>-68.33</v>
      </c>
      <c r="G64" s="29">
        <f>50+11.67</f>
        <v>61.67</v>
      </c>
      <c r="H64" s="38"/>
    </row>
    <row r="65" ht="36" customHeight="1" spans="1:9">
      <c r="A65" s="6"/>
      <c r="B65" s="27" t="s">
        <v>45</v>
      </c>
      <c r="C65" s="7"/>
      <c r="D65" s="16"/>
      <c r="E65" s="36">
        <v>130</v>
      </c>
      <c r="F65" s="36">
        <f t="shared" si="10"/>
        <v>-68.33</v>
      </c>
      <c r="G65" s="13">
        <f>50+11.67</f>
        <v>61.67</v>
      </c>
      <c r="H65" s="39"/>
    </row>
    <row r="66" ht="36" customHeight="1" spans="1:9">
      <c r="A66" s="6"/>
      <c r="B66" s="27" t="s">
        <v>46</v>
      </c>
      <c r="C66" s="7"/>
      <c r="D66" s="16"/>
      <c r="E66" s="36">
        <v>120</v>
      </c>
      <c r="F66" s="36">
        <f t="shared" si="10"/>
        <v>-83.33</v>
      </c>
      <c r="G66" s="13">
        <f>25+11.67</f>
        <v>36.67</v>
      </c>
      <c r="H66" s="39"/>
    </row>
    <row r="67" ht="36" customHeight="1" spans="1:9">
      <c r="A67" s="6"/>
      <c r="B67" s="27" t="s">
        <v>47</v>
      </c>
      <c r="C67" s="7"/>
      <c r="D67" s="16"/>
      <c r="E67" s="36">
        <v>120</v>
      </c>
      <c r="F67" s="36">
        <f t="shared" si="10"/>
        <v>-83.33</v>
      </c>
      <c r="G67" s="13">
        <f>25+11.67</f>
        <v>36.67</v>
      </c>
      <c r="H67" s="40"/>
    </row>
    <row r="68" ht="36" customHeight="1" spans="1:9">
      <c r="A68" s="6">
        <v>32</v>
      </c>
      <c r="B68" s="15" t="s">
        <v>21</v>
      </c>
      <c r="C68" s="7" t="s">
        <v>13</v>
      </c>
      <c r="D68" s="16" t="s">
        <v>53</v>
      </c>
      <c r="E68" s="21">
        <f>E69+E74+E79+E84+E89+E94</f>
        <v>761.906666666667</v>
      </c>
      <c r="F68" s="13"/>
      <c r="G68" s="13"/>
      <c r="H68" s="19"/>
    </row>
    <row r="69" ht="36" customHeight="1" spans="1:9">
      <c r="A69" s="6">
        <v>33</v>
      </c>
      <c r="B69" s="15" t="s">
        <v>54</v>
      </c>
      <c r="C69" s="7" t="s">
        <v>13</v>
      </c>
      <c r="D69" s="16">
        <v>33</v>
      </c>
      <c r="E69" s="21">
        <f>SUM(E70:E73)</f>
        <v>190.64</v>
      </c>
      <c r="F69" s="21">
        <f t="shared" ref="F69:F74" si="11">G69-E69</f>
        <v>-43.34</v>
      </c>
      <c r="G69" s="21">
        <f>SUM(G70:G73)</f>
        <v>147.3</v>
      </c>
      <c r="H69" s="41"/>
    </row>
    <row r="70" ht="36" customHeight="1" spans="1:9">
      <c r="A70" s="6"/>
      <c r="B70" s="27" t="s">
        <v>44</v>
      </c>
      <c r="C70" s="7"/>
      <c r="D70" s="16"/>
      <c r="E70" s="36">
        <v>57.2</v>
      </c>
      <c r="F70" s="36">
        <f t="shared" si="11"/>
        <v>-13</v>
      </c>
      <c r="G70" s="21">
        <f>13000*0.3/30*0.6/2+5.2</f>
        <v>44.2</v>
      </c>
      <c r="H70" s="42"/>
      <c r="I70" s="43"/>
    </row>
    <row r="71" ht="36" customHeight="1" spans="1:9">
      <c r="A71" s="6"/>
      <c r="B71" s="27" t="s">
        <v>45</v>
      </c>
      <c r="C71" s="7"/>
      <c r="D71" s="16"/>
      <c r="E71" s="36">
        <v>57.2</v>
      </c>
      <c r="F71" s="36">
        <f t="shared" si="11"/>
        <v>-13</v>
      </c>
      <c r="G71" s="21">
        <f>13000*0.3/30*0.6/2+5.2</f>
        <v>44.2</v>
      </c>
      <c r="H71" s="44"/>
      <c r="I71" s="43"/>
    </row>
    <row r="72" ht="36" customHeight="1" spans="1:9">
      <c r="A72" s="6"/>
      <c r="B72" s="27" t="s">
        <v>46</v>
      </c>
      <c r="C72" s="7"/>
      <c r="D72" s="16"/>
      <c r="E72" s="36">
        <v>38.12</v>
      </c>
      <c r="F72" s="36">
        <f t="shared" si="11"/>
        <v>-8.67</v>
      </c>
      <c r="G72" s="21">
        <f>13000*0.3/30*0.4/2+3.45</f>
        <v>29.45</v>
      </c>
      <c r="H72" s="44"/>
    </row>
    <row r="73" ht="36" customHeight="1" spans="1:9">
      <c r="A73" s="6"/>
      <c r="B73" s="27" t="s">
        <v>47</v>
      </c>
      <c r="C73" s="7"/>
      <c r="D73" s="16"/>
      <c r="E73" s="36">
        <v>38.12</v>
      </c>
      <c r="F73" s="36">
        <f t="shared" si="11"/>
        <v>-8.67</v>
      </c>
      <c r="G73" s="21">
        <f>13000*0.3/30*0.4/2+3.45</f>
        <v>29.45</v>
      </c>
      <c r="H73" s="45"/>
    </row>
    <row r="74" ht="36" customHeight="1" spans="1:9">
      <c r="A74" s="6">
        <v>34</v>
      </c>
      <c r="B74" s="15" t="s">
        <v>55</v>
      </c>
      <c r="C74" s="7" t="s">
        <v>13</v>
      </c>
      <c r="D74" s="16">
        <v>34</v>
      </c>
      <c r="E74" s="21">
        <f>SUM(E75:E78)</f>
        <v>50.4</v>
      </c>
      <c r="F74" s="21">
        <f t="shared" si="11"/>
        <v>0</v>
      </c>
      <c r="G74" s="21">
        <f>SUM(G75:G78)</f>
        <v>50.4</v>
      </c>
      <c r="H74" s="31"/>
    </row>
    <row r="75" ht="36" customHeight="1" spans="1:9">
      <c r="A75" s="6"/>
      <c r="B75" s="27" t="s">
        <v>44</v>
      </c>
      <c r="C75" s="7"/>
      <c r="D75" s="16"/>
      <c r="E75" s="36">
        <f>21*96/120</f>
        <v>16.8</v>
      </c>
      <c r="F75" s="36">
        <v>0</v>
      </c>
      <c r="G75" s="21">
        <v>16.8</v>
      </c>
      <c r="H75" s="19"/>
    </row>
    <row r="76" ht="36" customHeight="1" spans="1:9">
      <c r="A76" s="6"/>
      <c r="B76" s="27" t="s">
        <v>45</v>
      </c>
      <c r="C76" s="7"/>
      <c r="D76" s="16"/>
      <c r="E76" s="36">
        <f>21*96/120</f>
        <v>16.8</v>
      </c>
      <c r="F76" s="36">
        <v>0</v>
      </c>
      <c r="G76" s="21">
        <v>16.8</v>
      </c>
      <c r="H76" s="19"/>
    </row>
    <row r="77" ht="36" customHeight="1" spans="1:9">
      <c r="A77" s="6"/>
      <c r="B77" s="27" t="s">
        <v>46</v>
      </c>
      <c r="C77" s="7"/>
      <c r="D77" s="16"/>
      <c r="E77" s="36">
        <f>21*48/120</f>
        <v>8.4</v>
      </c>
      <c r="F77" s="36">
        <v>0</v>
      </c>
      <c r="G77" s="21">
        <v>8.4</v>
      </c>
      <c r="H77" s="19"/>
    </row>
    <row r="78" ht="36" customHeight="1" spans="1:9">
      <c r="A78" s="6"/>
      <c r="B78" s="27" t="s">
        <v>47</v>
      </c>
      <c r="C78" s="7"/>
      <c r="D78" s="16"/>
      <c r="E78" s="36">
        <f>21*48/120</f>
        <v>8.4</v>
      </c>
      <c r="F78" s="36">
        <v>0</v>
      </c>
      <c r="G78" s="21">
        <v>8.4</v>
      </c>
      <c r="H78" s="19"/>
    </row>
    <row r="79" ht="36" customHeight="1" spans="1:9">
      <c r="A79" s="6">
        <v>35</v>
      </c>
      <c r="B79" s="15" t="s">
        <v>56</v>
      </c>
      <c r="C79" s="7" t="s">
        <v>13</v>
      </c>
      <c r="D79" s="16">
        <v>35</v>
      </c>
      <c r="E79" s="21">
        <f>SUM(E80:E83)</f>
        <v>12</v>
      </c>
      <c r="F79" s="21"/>
      <c r="G79" s="21">
        <f>SUM(G80:G83)</f>
        <v>12</v>
      </c>
      <c r="H79" s="19"/>
    </row>
    <row r="80" ht="36" customHeight="1" spans="1:9">
      <c r="A80" s="6"/>
      <c r="B80" s="27" t="s">
        <v>44</v>
      </c>
      <c r="C80" s="7"/>
      <c r="D80" s="16"/>
      <c r="E80" s="36">
        <v>4</v>
      </c>
      <c r="F80" s="36">
        <f t="shared" ref="F80:F83" si="12">E80-G80</f>
        <v>0</v>
      </c>
      <c r="G80" s="21">
        <v>4</v>
      </c>
      <c r="H80" s="19"/>
    </row>
    <row r="81" ht="36" customHeight="1" spans="1:10">
      <c r="A81" s="6"/>
      <c r="B81" s="27" t="s">
        <v>45</v>
      </c>
      <c r="C81" s="7"/>
      <c r="D81" s="16"/>
      <c r="E81" s="36">
        <v>4</v>
      </c>
      <c r="F81" s="36">
        <f t="shared" si="12"/>
        <v>0</v>
      </c>
      <c r="G81" s="21">
        <v>4</v>
      </c>
      <c r="H81" s="19"/>
    </row>
    <row r="82" ht="36" customHeight="1" spans="1:10">
      <c r="A82" s="6"/>
      <c r="B82" s="27" t="s">
        <v>46</v>
      </c>
      <c r="C82" s="7"/>
      <c r="D82" s="16"/>
      <c r="E82" s="36">
        <v>2</v>
      </c>
      <c r="F82" s="36">
        <f t="shared" si="12"/>
        <v>0</v>
      </c>
      <c r="G82" s="21">
        <v>2</v>
      </c>
      <c r="H82" s="19"/>
    </row>
    <row r="83" ht="36" customHeight="1" spans="1:10">
      <c r="A83" s="6"/>
      <c r="B83" s="27" t="s">
        <v>47</v>
      </c>
      <c r="C83" s="7"/>
      <c r="D83" s="16"/>
      <c r="E83" s="36">
        <v>2</v>
      </c>
      <c r="F83" s="36">
        <f t="shared" si="12"/>
        <v>0</v>
      </c>
      <c r="G83" s="21">
        <v>2</v>
      </c>
      <c r="H83" s="19"/>
    </row>
    <row r="84" ht="36" customHeight="1" spans="1:10">
      <c r="A84" s="6"/>
      <c r="B84" s="15" t="s">
        <v>57</v>
      </c>
      <c r="C84" s="7"/>
      <c r="D84" s="16">
        <v>36</v>
      </c>
      <c r="E84" s="21">
        <f>SUM(E85:E88)</f>
        <v>220</v>
      </c>
      <c r="F84" s="21">
        <f t="shared" ref="F84:F98" si="13">G84-E84</f>
        <v>-70</v>
      </c>
      <c r="G84" s="21">
        <f>SUM(G85:G88)</f>
        <v>150</v>
      </c>
      <c r="H84" s="31"/>
    </row>
    <row r="85" ht="36" customHeight="1" spans="1:10">
      <c r="A85" s="6"/>
      <c r="B85" s="27" t="s">
        <v>44</v>
      </c>
      <c r="C85" s="7"/>
      <c r="D85" s="16"/>
      <c r="E85" s="21">
        <v>60</v>
      </c>
      <c r="F85" s="21">
        <f t="shared" si="13"/>
        <v>-22.5</v>
      </c>
      <c r="G85" s="21">
        <f t="shared" ref="G85:G88" si="14">4500/30/4</f>
        <v>37.5</v>
      </c>
      <c r="H85" s="41"/>
      <c r="I85" s="34"/>
    </row>
    <row r="86" ht="36" customHeight="1" spans="1:10">
      <c r="A86" s="6"/>
      <c r="B86" s="27" t="s">
        <v>45</v>
      </c>
      <c r="C86" s="7"/>
      <c r="D86" s="16"/>
      <c r="E86" s="21">
        <v>60</v>
      </c>
      <c r="F86" s="21">
        <f t="shared" si="13"/>
        <v>-22.5</v>
      </c>
      <c r="G86" s="21">
        <f t="shared" si="14"/>
        <v>37.5</v>
      </c>
      <c r="H86" s="31"/>
    </row>
    <row r="87" ht="36" customHeight="1" spans="1:10">
      <c r="A87" s="6"/>
      <c r="B87" s="27" t="s">
        <v>46</v>
      </c>
      <c r="C87" s="7"/>
      <c r="D87" s="16"/>
      <c r="E87" s="21">
        <v>50</v>
      </c>
      <c r="F87" s="21">
        <f t="shared" si="13"/>
        <v>-12.5</v>
      </c>
      <c r="G87" s="21">
        <f t="shared" si="14"/>
        <v>37.5</v>
      </c>
      <c r="H87" s="31"/>
    </row>
    <row r="88" ht="36" customHeight="1" spans="1:10">
      <c r="A88" s="6"/>
      <c r="B88" s="27" t="s">
        <v>47</v>
      </c>
      <c r="C88" s="7"/>
      <c r="D88" s="16"/>
      <c r="E88" s="21">
        <v>50</v>
      </c>
      <c r="F88" s="21">
        <f t="shared" si="13"/>
        <v>-12.5</v>
      </c>
      <c r="G88" s="21">
        <f t="shared" si="14"/>
        <v>37.5</v>
      </c>
      <c r="H88" s="31"/>
    </row>
    <row r="89" ht="36" customHeight="1" spans="1:10">
      <c r="A89" s="6"/>
      <c r="B89" s="15" t="s">
        <v>58</v>
      </c>
      <c r="C89" s="7"/>
      <c r="D89" s="16">
        <v>37</v>
      </c>
      <c r="E89" s="21">
        <f>SUM(E90:E93)</f>
        <v>66.6666666666667</v>
      </c>
      <c r="F89" s="21">
        <f t="shared" si="13"/>
        <v>-33.3266666666667</v>
      </c>
      <c r="G89" s="21">
        <f>SUM(G90:G93)</f>
        <v>33.34</v>
      </c>
      <c r="H89" s="31"/>
    </row>
    <row r="90" ht="36" customHeight="1" spans="1:10">
      <c r="A90" s="6"/>
      <c r="B90" s="27" t="s">
        <v>44</v>
      </c>
      <c r="C90" s="7"/>
      <c r="D90" s="16"/>
      <c r="E90" s="21">
        <f t="shared" ref="E90:E93" si="15">500/30</f>
        <v>16.6666666666667</v>
      </c>
      <c r="F90" s="21">
        <f t="shared" si="13"/>
        <v>-8.33166666666667</v>
      </c>
      <c r="G90" s="21">
        <f t="shared" ref="G90:G93" si="16">16.67/2</f>
        <v>8.335</v>
      </c>
      <c r="H90" s="31"/>
      <c r="I90" s="43"/>
    </row>
    <row r="91" ht="36" customHeight="1" spans="1:10">
      <c r="A91" s="6"/>
      <c r="B91" s="27" t="s">
        <v>45</v>
      </c>
      <c r="C91" s="7"/>
      <c r="D91" s="16"/>
      <c r="E91" s="21">
        <f t="shared" si="15"/>
        <v>16.6666666666667</v>
      </c>
      <c r="F91" s="21">
        <f t="shared" si="13"/>
        <v>-8.33166666666667</v>
      </c>
      <c r="G91" s="21">
        <f t="shared" si="16"/>
        <v>8.335</v>
      </c>
      <c r="H91" s="31"/>
    </row>
    <row r="92" ht="36" customHeight="1" spans="1:10">
      <c r="A92" s="6"/>
      <c r="B92" s="27" t="s">
        <v>46</v>
      </c>
      <c r="C92" s="7"/>
      <c r="D92" s="16"/>
      <c r="E92" s="21">
        <f t="shared" si="15"/>
        <v>16.6666666666667</v>
      </c>
      <c r="F92" s="21">
        <f t="shared" si="13"/>
        <v>-8.33166666666667</v>
      </c>
      <c r="G92" s="21">
        <f t="shared" si="16"/>
        <v>8.335</v>
      </c>
      <c r="H92" s="31"/>
    </row>
    <row r="93" ht="36" customHeight="1" spans="1:10">
      <c r="A93" s="6"/>
      <c r="B93" s="27" t="s">
        <v>47</v>
      </c>
      <c r="C93" s="7"/>
      <c r="D93" s="16"/>
      <c r="E93" s="21">
        <f t="shared" si="15"/>
        <v>16.6666666666667</v>
      </c>
      <c r="F93" s="21">
        <f t="shared" si="13"/>
        <v>-8.33166666666667</v>
      </c>
      <c r="G93" s="21">
        <f t="shared" si="16"/>
        <v>8.335</v>
      </c>
      <c r="H93" s="31"/>
    </row>
    <row r="94" ht="36" customHeight="1" spans="1:10">
      <c r="A94" s="6"/>
      <c r="B94" s="15" t="s">
        <v>59</v>
      </c>
      <c r="C94" s="7"/>
      <c r="D94" s="16">
        <v>38</v>
      </c>
      <c r="E94" s="21">
        <f>SUM(E95:E98)</f>
        <v>222.2</v>
      </c>
      <c r="F94" s="21">
        <f t="shared" si="13"/>
        <v>-166.54</v>
      </c>
      <c r="G94" s="21">
        <f>SUM(G95:G98)</f>
        <v>55.66</v>
      </c>
      <c r="H94" s="31"/>
      <c r="I94" s="46"/>
      <c r="J94" s="25"/>
    </row>
    <row r="95" ht="36" customHeight="1" spans="1:10">
      <c r="A95" s="6"/>
      <c r="B95" s="27" t="s">
        <v>44</v>
      </c>
      <c r="C95" s="7"/>
      <c r="D95" s="16"/>
      <c r="E95" s="21">
        <v>55.55</v>
      </c>
      <c r="F95" s="21">
        <f t="shared" si="13"/>
        <v>-37</v>
      </c>
      <c r="G95" s="21">
        <v>18.55</v>
      </c>
      <c r="H95" s="31"/>
      <c r="I95" s="47"/>
      <c r="J95" s="25"/>
    </row>
    <row r="96" ht="36" customHeight="1" spans="1:10">
      <c r="A96" s="6"/>
      <c r="B96" s="27" t="s">
        <v>45</v>
      </c>
      <c r="C96" s="7"/>
      <c r="D96" s="16"/>
      <c r="E96" s="21">
        <v>55.55</v>
      </c>
      <c r="F96" s="21">
        <f t="shared" si="13"/>
        <v>-37</v>
      </c>
      <c r="G96" s="21">
        <v>18.55</v>
      </c>
      <c r="H96" s="48"/>
      <c r="I96" s="47"/>
      <c r="J96" s="25"/>
    </row>
    <row r="97" ht="36" customHeight="1" spans="1:10">
      <c r="A97" s="6"/>
      <c r="B97" s="27" t="s">
        <v>46</v>
      </c>
      <c r="C97" s="7"/>
      <c r="D97" s="16"/>
      <c r="E97" s="21">
        <v>55.55</v>
      </c>
      <c r="F97" s="21">
        <f t="shared" si="13"/>
        <v>-46.27</v>
      </c>
      <c r="G97" s="21">
        <v>9.28</v>
      </c>
      <c r="H97" s="31"/>
      <c r="I97" s="47"/>
      <c r="J97" s="25"/>
    </row>
    <row r="98" ht="36" customHeight="1" spans="1:10">
      <c r="A98" s="6"/>
      <c r="B98" s="27" t="s">
        <v>47</v>
      </c>
      <c r="C98" s="7"/>
      <c r="D98" s="16"/>
      <c r="E98" s="21">
        <v>55.55</v>
      </c>
      <c r="F98" s="21">
        <f t="shared" si="13"/>
        <v>-46.27</v>
      </c>
      <c r="G98" s="21">
        <v>9.28</v>
      </c>
      <c r="H98" s="31"/>
      <c r="I98" s="47"/>
      <c r="J98" s="25"/>
    </row>
    <row r="99" ht="36" customHeight="1" spans="1:10">
      <c r="A99" s="6">
        <v>36</v>
      </c>
      <c r="B99" s="15" t="s">
        <v>22</v>
      </c>
      <c r="C99" s="7" t="s">
        <v>13</v>
      </c>
      <c r="D99" s="16">
        <v>39</v>
      </c>
      <c r="E99" s="13"/>
      <c r="F99" s="13"/>
      <c r="G99" s="13"/>
      <c r="H99" s="19"/>
    </row>
    <row r="100" ht="36" customHeight="1" spans="1:10">
      <c r="A100" s="6">
        <v>41</v>
      </c>
      <c r="B100" s="5" t="s">
        <v>60</v>
      </c>
      <c r="C100" s="5"/>
      <c r="D100" s="10">
        <v>40</v>
      </c>
      <c r="E100" s="49"/>
      <c r="F100" s="49"/>
      <c r="G100" s="49"/>
      <c r="H100" s="50" t="s">
        <v>61</v>
      </c>
    </row>
    <row r="101" ht="36" customHeight="1" spans="1:10">
      <c r="A101" s="6">
        <v>42</v>
      </c>
      <c r="B101" s="15" t="s">
        <v>62</v>
      </c>
      <c r="C101" s="51" t="s">
        <v>13</v>
      </c>
      <c r="D101" s="16">
        <v>41</v>
      </c>
      <c r="E101" s="29">
        <v>0</v>
      </c>
      <c r="F101" s="29">
        <v>0</v>
      </c>
      <c r="G101" s="29">
        <v>0</v>
      </c>
      <c r="H101" s="31" t="s">
        <v>63</v>
      </c>
    </row>
    <row r="102" ht="36" customHeight="1" spans="1:10">
      <c r="A102" s="6">
        <v>43</v>
      </c>
      <c r="B102" s="15" t="s">
        <v>64</v>
      </c>
      <c r="C102" s="51" t="s">
        <v>13</v>
      </c>
      <c r="D102" s="16">
        <v>42</v>
      </c>
      <c r="E102" s="35">
        <f>E13</f>
        <v>727.35</v>
      </c>
      <c r="F102" s="35">
        <f t="shared" ref="F102:F104" si="17">G102-E102</f>
        <v>-592</v>
      </c>
      <c r="G102" s="35">
        <f>G13</f>
        <v>135.35</v>
      </c>
      <c r="H102" s="31" t="s">
        <v>65</v>
      </c>
    </row>
    <row r="103" ht="36" customHeight="1" spans="1:10">
      <c r="A103" s="6">
        <v>44</v>
      </c>
      <c r="B103" s="15" t="s">
        <v>66</v>
      </c>
      <c r="C103" s="51" t="s">
        <v>13</v>
      </c>
      <c r="D103" s="16">
        <v>43</v>
      </c>
      <c r="E103" s="35">
        <f>E20</f>
        <v>571.270867123288</v>
      </c>
      <c r="F103" s="35">
        <f t="shared" si="17"/>
        <v>0</v>
      </c>
      <c r="G103" s="35">
        <f>G20</f>
        <v>571.270867123288</v>
      </c>
      <c r="H103" s="31" t="s">
        <v>67</v>
      </c>
    </row>
    <row r="104" ht="36" customHeight="1" spans="1:10">
      <c r="A104" s="6">
        <v>45</v>
      </c>
      <c r="B104" s="52" t="s">
        <v>68</v>
      </c>
      <c r="C104" s="51" t="s">
        <v>13</v>
      </c>
      <c r="D104" s="16">
        <v>44</v>
      </c>
      <c r="E104" s="35">
        <f>E42</f>
        <v>1927.96675008753</v>
      </c>
      <c r="F104" s="35">
        <f t="shared" si="17"/>
        <v>-1505.32666666667</v>
      </c>
      <c r="G104" s="35">
        <f>G42</f>
        <v>422.640083420862</v>
      </c>
      <c r="H104" s="52" t="s">
        <v>69</v>
      </c>
    </row>
  </sheetData>
  <mergeCells count="5">
    <mergeCell ref="A2:H2"/>
    <mergeCell ref="E3:G3"/>
    <mergeCell ref="H6:H10"/>
    <mergeCell ref="H64:H67"/>
    <mergeCell ref="H70:H73"/>
  </mergeCells>
  <pageMargins left="0.275" right="0.118055555555556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殡葬延伸服务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喜欢</cp:lastModifiedBy>
  <dcterms:created xsi:type="dcterms:W3CDTF">2026-01-30T03:29:00Z</dcterms:created>
  <dcterms:modified xsi:type="dcterms:W3CDTF">2026-01-30T14:29:57Z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A40F6D4EF2DC4F36BF19386682C4096D_13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